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５\解答\"/>
    </mc:Choice>
  </mc:AlternateContent>
  <xr:revisionPtr revIDLastSave="0" documentId="13_ncr:1_{619F72D4-8ED0-4BB2-9F0A-6B03A534BD79}" xr6:coauthVersionLast="47" xr6:coauthVersionMax="47" xr10:uidLastSave="{00000000-0000-0000-0000-000000000000}"/>
  <bookViews>
    <workbookView xWindow="-120" yWindow="-120" windowWidth="29040" windowHeight="15840" xr2:uid="{C6735608-118C-4BB0-A56C-B03DEE35BF57}"/>
  </bookViews>
  <sheets>
    <sheet name="とりまとめ表" sheetId="3" r:id="rId1"/>
    <sheet name="リスト一覧" sheetId="2" r:id="rId2"/>
  </sheets>
  <definedNames>
    <definedName name="エリア">リスト一覧!$C$13:$E$14</definedName>
    <definedName name="プラン">リスト一覧!$B$4:$D$9</definedName>
    <definedName name="ランク">リスト一覧!$F$4:$H$6</definedName>
  </definedNames>
  <calcPr calcId="191029"/>
</workbook>
</file>

<file path=xl/calcChain.xml><?xml version="1.0" encoding="utf-8"?>
<calcChain xmlns="http://schemas.openxmlformats.org/spreadsheetml/2006/main">
  <c r="N15" i="3" l="1"/>
  <c r="M15" i="3"/>
  <c r="L15" i="3"/>
  <c r="N9" i="3"/>
  <c r="O9" i="3"/>
  <c r="M9" i="3"/>
  <c r="N8" i="3"/>
  <c r="O8" i="3"/>
  <c r="M8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7" i="3"/>
  <c r="F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7" i="3"/>
</calcChain>
</file>

<file path=xl/sharedStrings.xml><?xml version="1.0" encoding="utf-8"?>
<sst xmlns="http://schemas.openxmlformats.org/spreadsheetml/2006/main" count="83" uniqueCount="73">
  <si>
    <t>A3</t>
    <phoneticPr fontId="2"/>
  </si>
  <si>
    <t>管理CD</t>
    <rPh sb="0" eb="2">
      <t>カンリ</t>
    </rPh>
    <phoneticPr fontId="2"/>
  </si>
  <si>
    <t>1P</t>
    <phoneticPr fontId="2"/>
  </si>
  <si>
    <t>1ページサイズ</t>
    <phoneticPr fontId="2"/>
  </si>
  <si>
    <t>ページ半分</t>
    <rPh sb="3" eb="5">
      <t>ハンブン</t>
    </rPh>
    <phoneticPr fontId="2"/>
  </si>
  <si>
    <t>写真サイズ</t>
    <rPh sb="0" eb="2">
      <t>シャシン</t>
    </rPh>
    <phoneticPr fontId="2"/>
  </si>
  <si>
    <t>名刺サイズ</t>
    <rPh sb="0" eb="2">
      <t>メイシ</t>
    </rPh>
    <phoneticPr fontId="2"/>
  </si>
  <si>
    <t>A2</t>
    <phoneticPr fontId="2"/>
  </si>
  <si>
    <t>A6</t>
    <phoneticPr fontId="2"/>
  </si>
  <si>
    <t>A1</t>
    <phoneticPr fontId="2"/>
  </si>
  <si>
    <t>文字のみ</t>
    <rPh sb="0" eb="2">
      <t>モジ</t>
    </rPh>
    <phoneticPr fontId="2"/>
  </si>
  <si>
    <t>ウェブ掲載</t>
    <rPh sb="3" eb="5">
      <t>ケイサイ</t>
    </rPh>
    <phoneticPr fontId="2"/>
  </si>
  <si>
    <t>エリア</t>
    <phoneticPr fontId="2"/>
  </si>
  <si>
    <t>PP</t>
    <phoneticPr fontId="2"/>
  </si>
  <si>
    <t>P</t>
    <phoneticPr fontId="2"/>
  </si>
  <si>
    <t>S</t>
    <phoneticPr fontId="2"/>
  </si>
  <si>
    <t>エリアCD</t>
    <phoneticPr fontId="2"/>
  </si>
  <si>
    <t>≪掲載エリア一覧≫</t>
    <rPh sb="1" eb="3">
      <t>ケイサイ</t>
    </rPh>
    <rPh sb="6" eb="8">
      <t/>
    </rPh>
    <phoneticPr fontId="2"/>
  </si>
  <si>
    <t>求人掲載一覧表</t>
    <rPh sb="0" eb="2">
      <t>キュウジン</t>
    </rPh>
    <rPh sb="2" eb="4">
      <t>ケイサイ</t>
    </rPh>
    <rPh sb="4" eb="6">
      <t>イチラン</t>
    </rPh>
    <rPh sb="6" eb="7">
      <t>ヒョウ</t>
    </rPh>
    <phoneticPr fontId="2"/>
  </si>
  <si>
    <t>W1</t>
    <phoneticPr fontId="2"/>
  </si>
  <si>
    <t>曜日</t>
    <rPh sb="0" eb="2">
      <t>ヨウビ</t>
    </rPh>
    <phoneticPr fontId="2"/>
  </si>
  <si>
    <t>掲載エリア</t>
    <rPh sb="0" eb="2">
      <t>ケイサイ</t>
    </rPh>
    <phoneticPr fontId="2"/>
  </si>
  <si>
    <t>福岡</t>
    <rPh sb="0" eb="2">
      <t>フクオカ</t>
    </rPh>
    <phoneticPr fontId="2"/>
  </si>
  <si>
    <t>北九州</t>
    <rPh sb="0" eb="3">
      <t>キタキュウシュウ</t>
    </rPh>
    <phoneticPr fontId="2"/>
  </si>
  <si>
    <t>久留米</t>
    <rPh sb="0" eb="3">
      <t>クルメ</t>
    </rPh>
    <phoneticPr fontId="2"/>
  </si>
  <si>
    <t>掲載件数</t>
    <rPh sb="0" eb="2">
      <t>ケイサイ</t>
    </rPh>
    <rPh sb="2" eb="4">
      <t>ケンスウ</t>
    </rPh>
    <phoneticPr fontId="2"/>
  </si>
  <si>
    <t>ウェブ掲載</t>
    <phoneticPr fontId="2"/>
  </si>
  <si>
    <t>掲載開始日</t>
    <rPh sb="0" eb="2">
      <t>ケイサイ</t>
    </rPh>
    <rPh sb="2" eb="4">
      <t>カイシ</t>
    </rPh>
    <rPh sb="4" eb="5">
      <t>ビ</t>
    </rPh>
    <phoneticPr fontId="2"/>
  </si>
  <si>
    <t>金額(円)</t>
    <rPh sb="0" eb="2">
      <t>キンガク</t>
    </rPh>
    <rPh sb="3" eb="4">
      <t>エン</t>
    </rPh>
    <phoneticPr fontId="2"/>
  </si>
  <si>
    <t>ランク</t>
    <phoneticPr fontId="2"/>
  </si>
  <si>
    <t>購入額</t>
    <rPh sb="0" eb="2">
      <t>コウニュウ</t>
    </rPh>
    <rPh sb="2" eb="3">
      <t>ガク</t>
    </rPh>
    <phoneticPr fontId="2"/>
  </si>
  <si>
    <t>～</t>
    <phoneticPr fontId="2"/>
  </si>
  <si>
    <t>レギュラー</t>
    <phoneticPr fontId="2"/>
  </si>
  <si>
    <t>ゴールド</t>
    <phoneticPr fontId="2"/>
  </si>
  <si>
    <t>プラチナ</t>
    <phoneticPr fontId="2"/>
  </si>
  <si>
    <t>日別掲載額</t>
    <rPh sb="0" eb="1">
      <t>ヒ</t>
    </rPh>
    <rPh sb="1" eb="2">
      <t>ベツ</t>
    </rPh>
    <rPh sb="2" eb="4">
      <t>ケイサイ</t>
    </rPh>
    <rPh sb="4" eb="5">
      <t>ガク</t>
    </rPh>
    <phoneticPr fontId="2"/>
  </si>
  <si>
    <t>割引後金額が最も高い商品</t>
    <rPh sb="0" eb="2">
      <t>ワリビキ</t>
    </rPh>
    <rPh sb="2" eb="3">
      <t>ゴ</t>
    </rPh>
    <rPh sb="3" eb="5">
      <t>キンガク</t>
    </rPh>
    <rPh sb="6" eb="7">
      <t>モット</t>
    </rPh>
    <rPh sb="8" eb="9">
      <t>タカ</t>
    </rPh>
    <rPh sb="10" eb="12">
      <t>ショウヒン</t>
    </rPh>
    <phoneticPr fontId="8"/>
  </si>
  <si>
    <t>割引後金額（円）</t>
    <rPh sb="0" eb="2">
      <t>ワリビキ</t>
    </rPh>
    <rPh sb="2" eb="3">
      <t>ゴ</t>
    </rPh>
    <rPh sb="3" eb="4">
      <t>キン</t>
    </rPh>
    <rPh sb="4" eb="5">
      <t>ガク</t>
    </rPh>
    <rPh sb="6" eb="7">
      <t>エン</t>
    </rPh>
    <phoneticPr fontId="2"/>
  </si>
  <si>
    <t>A3-10@P</t>
  </si>
  <si>
    <t>1P-30@P</t>
  </si>
  <si>
    <t>A1-15@S</t>
  </si>
  <si>
    <t>A6-20@S</t>
  </si>
  <si>
    <t>W1-30@PP</t>
  </si>
  <si>
    <t>A3-25@S</t>
  </si>
  <si>
    <t>A3-15@PP</t>
  </si>
  <si>
    <t>W1-20@PP</t>
  </si>
  <si>
    <t>1P-35@P</t>
  </si>
  <si>
    <t>W1-10@P</t>
  </si>
  <si>
    <t>A2-10@S</t>
  </si>
  <si>
    <t>A2-10@PP</t>
  </si>
  <si>
    <t>A3-30@S</t>
  </si>
  <si>
    <t>A6-25@P</t>
  </si>
  <si>
    <t>W1-20@S</t>
  </si>
  <si>
    <t>A6-15@S</t>
  </si>
  <si>
    <t>W1-14@P</t>
  </si>
  <si>
    <t>A2-30@PP</t>
  </si>
  <si>
    <t>W1-35@PP</t>
  </si>
  <si>
    <t>1P-15@P</t>
  </si>
  <si>
    <t>A1-25@S</t>
  </si>
  <si>
    <t>掲載期間（日）</t>
    <rPh sb="0" eb="2">
      <t>ケイサイ</t>
    </rPh>
    <rPh sb="2" eb="4">
      <t>キカン</t>
    </rPh>
    <rPh sb="5" eb="6">
      <t>ニチ</t>
    </rPh>
    <phoneticPr fontId="2"/>
  </si>
  <si>
    <t>1P-7@PP</t>
  </si>
  <si>
    <t>1P-7@P</t>
  </si>
  <si>
    <t>W1-7@S</t>
  </si>
  <si>
    <t>A3-7@P</t>
  </si>
  <si>
    <t>A6-7@S</t>
  </si>
  <si>
    <t>≪掲載料一覧≫</t>
    <rPh sb="1" eb="4">
      <t>ケイサイリョウ</t>
    </rPh>
    <rPh sb="4" eb="6">
      <t>イチラン</t>
    </rPh>
    <phoneticPr fontId="2"/>
  </si>
  <si>
    <t>プラン名</t>
    <rPh sb="3" eb="4">
      <t>メイ</t>
    </rPh>
    <phoneticPr fontId="2"/>
  </si>
  <si>
    <t>プラン名</t>
    <rPh sb="3" eb="4">
      <t>メイ</t>
    </rPh>
    <phoneticPr fontId="8"/>
  </si>
  <si>
    <t>プランCD</t>
    <phoneticPr fontId="2"/>
  </si>
  <si>
    <t>≪プラン一覧≫</t>
    <rPh sb="4" eb="6">
      <t>イチラン</t>
    </rPh>
    <phoneticPr fontId="2"/>
  </si>
  <si>
    <t>割引後金額合計</t>
    <rPh sb="3" eb="5">
      <t>キンガク</t>
    </rPh>
    <rPh sb="5" eb="7">
      <t>ゴウケイ</t>
    </rPh>
    <phoneticPr fontId="2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</si>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</sst>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&quot;件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HGS明朝B"/>
      <family val="1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1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7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7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7107B-A8E3-478D-B37E-F25A9A41E4EC}">
  <sheetPr>
    <pageSetUpPr fitToPage="1"/>
  </sheetPr>
  <dimension ref="A1:O32"/>
  <sheetViews>
    <sheetView tabSelected="1" workbookViewId="0">
      <selection activeCell="L28" sqref="L28"/>
    </sheetView>
  </sheetViews>
  <sheetFormatPr defaultRowHeight="13.5"/>
  <cols>
    <col min="1" max="1" width="5.625" customWidth="1"/>
    <col min="2" max="2" width="13.5" bestFit="1" customWidth="1"/>
    <col min="3" max="5" width="11.75" customWidth="1"/>
    <col min="6" max="6" width="14" bestFit="1" customWidth="1"/>
    <col min="7" max="9" width="11.75" customWidth="1"/>
    <col min="10" max="10" width="16.125" bestFit="1" customWidth="1"/>
    <col min="11" max="11" width="11.75" customWidth="1"/>
    <col min="12" max="12" width="14.125" customWidth="1"/>
    <col min="13" max="14" width="14" bestFit="1" customWidth="1"/>
    <col min="15" max="15" width="11.625" customWidth="1"/>
    <col min="16" max="16" width="11.625" bestFit="1" customWidth="1"/>
  </cols>
  <sheetData>
    <row r="1" spans="1:15">
      <c r="A1" t="s">
        <v>71</v>
      </c>
    </row>
    <row r="2" spans="1:15">
      <c r="A2" t="s">
        <v>72</v>
      </c>
    </row>
    <row r="4" spans="1:15" ht="23.1" customHeight="1">
      <c r="B4" s="25" t="s">
        <v>18</v>
      </c>
      <c r="C4" s="25"/>
      <c r="D4" s="25"/>
      <c r="E4" s="25"/>
      <c r="F4" s="25"/>
      <c r="G4" s="25"/>
      <c r="H4" s="25"/>
      <c r="I4" s="25"/>
      <c r="J4" s="25"/>
    </row>
    <row r="6" spans="1:15">
      <c r="B6" s="6" t="s">
        <v>1</v>
      </c>
      <c r="C6" s="6" t="s">
        <v>27</v>
      </c>
      <c r="D6" s="6" t="s">
        <v>20</v>
      </c>
      <c r="E6" s="6" t="s">
        <v>21</v>
      </c>
      <c r="F6" s="6" t="s">
        <v>66</v>
      </c>
      <c r="G6" s="6" t="s">
        <v>59</v>
      </c>
      <c r="H6" s="6" t="s">
        <v>28</v>
      </c>
      <c r="I6" s="6" t="s">
        <v>29</v>
      </c>
      <c r="J6" s="6" t="s">
        <v>37</v>
      </c>
      <c r="L6" s="22" t="s">
        <v>26</v>
      </c>
      <c r="M6" s="23"/>
      <c r="N6" s="23"/>
      <c r="O6" s="24"/>
    </row>
    <row r="7" spans="1:15">
      <c r="B7" s="1" t="s">
        <v>60</v>
      </c>
      <c r="C7" s="12">
        <v>45036</v>
      </c>
      <c r="D7" s="3" t="str">
        <f>TEXT(WEEKDAY(C7,1),"aaa")</f>
        <v>木</v>
      </c>
      <c r="E7" s="1" t="str">
        <f>HLOOKUP(RIGHT(B7,LEN(B7)-FIND("@",B7)),エリア,2,0)</f>
        <v>福岡</v>
      </c>
      <c r="F7" s="1" t="str">
        <f>VLOOKUP(LEFT(B7,2),プラン,2,0)</f>
        <v>1ページサイズ</v>
      </c>
      <c r="G7" s="1">
        <f>VALUE(MID(B7,4,FIND("@",B7)-4))</f>
        <v>7</v>
      </c>
      <c r="H7" s="17">
        <f>VLOOKUP(LEFT(B7,2),プラン,3,0)*G7</f>
        <v>84000</v>
      </c>
      <c r="I7" s="1" t="str">
        <f>VLOOKUP(H7,ランク,3,1)</f>
        <v>レギュラー</v>
      </c>
      <c r="J7" s="17">
        <f>IF(AND(I7="プラチナ",G7&gt;=20),H7*0.95,IF(I7="プラチナ",H7*0.97,H7))</f>
        <v>84000</v>
      </c>
      <c r="L7" s="13" t="s">
        <v>21</v>
      </c>
      <c r="M7" s="3" t="s">
        <v>22</v>
      </c>
      <c r="N7" s="3" t="s">
        <v>23</v>
      </c>
      <c r="O7" s="3" t="s">
        <v>24</v>
      </c>
    </row>
    <row r="8" spans="1:15">
      <c r="B8" s="1" t="s">
        <v>38</v>
      </c>
      <c r="C8" s="12">
        <v>45033</v>
      </c>
      <c r="D8" s="3" t="str">
        <f t="shared" ref="D8:D32" si="0">TEXT(WEEKDAY(C8,1),"aaa")</f>
        <v>月</v>
      </c>
      <c r="E8" s="1" t="str">
        <f>HLOOKUP(RIGHT(B8,LEN(B8)-FIND("@",B8)),エリア,2,0)</f>
        <v>北九州</v>
      </c>
      <c r="F8" s="1" t="str">
        <f>VLOOKUP(LEFT(B8,2),プラン,2,0)</f>
        <v>写真サイズ</v>
      </c>
      <c r="G8" s="1">
        <f t="shared" ref="G8:G32" si="1">VALUE(MID(B8,4,FIND("@",B8)-4))</f>
        <v>10</v>
      </c>
      <c r="H8" s="17">
        <f>VLOOKUP(LEFT(B8,2),プラン,3,0)*G8</f>
        <v>20000</v>
      </c>
      <c r="I8" s="1" t="str">
        <f>VLOOKUP(H8,ランク,3,1)</f>
        <v>レギュラー</v>
      </c>
      <c r="J8" s="17">
        <f t="shared" ref="J8:J32" si="2">IF(AND(I8="プラチナ",G8&gt;=20),H8*0.95,IF(I8="プラチナ",H8*0.97,H8))</f>
        <v>20000</v>
      </c>
      <c r="L8" s="13" t="s">
        <v>70</v>
      </c>
      <c r="M8" s="17">
        <f>SUMIFS($J$7:$J$32,$F$7:$F$32,$L$6,$E$7:$E$32,M7)</f>
        <v>807500</v>
      </c>
      <c r="N8" s="17">
        <f t="shared" ref="N8:O8" si="3">SUMIFS($J$7:$J$32,$F$7:$F$32,$L$6,$E$7:$E$32,N7)</f>
        <v>240000</v>
      </c>
      <c r="O8" s="17">
        <f t="shared" si="3"/>
        <v>260000</v>
      </c>
    </row>
    <row r="9" spans="1:15">
      <c r="B9" s="1" t="s">
        <v>39</v>
      </c>
      <c r="C9" s="12">
        <v>45041</v>
      </c>
      <c r="D9" s="3" t="str">
        <f t="shared" si="0"/>
        <v>火</v>
      </c>
      <c r="E9" s="1" t="str">
        <f>HLOOKUP(RIGHT(B9,LEN(B9)-FIND("@",B9)),エリア,2,0)</f>
        <v>北九州</v>
      </c>
      <c r="F9" s="1" t="str">
        <f>VLOOKUP(LEFT(B9,2),プラン,2,0)</f>
        <v>1ページサイズ</v>
      </c>
      <c r="G9" s="1">
        <f t="shared" si="1"/>
        <v>30</v>
      </c>
      <c r="H9" s="17">
        <f>VLOOKUP(LEFT(B9,2),プラン,3,0)*G9</f>
        <v>360000</v>
      </c>
      <c r="I9" s="1" t="str">
        <f>VLOOKUP(H9,ランク,3,1)</f>
        <v>プラチナ</v>
      </c>
      <c r="J9" s="17">
        <f t="shared" si="2"/>
        <v>342000</v>
      </c>
      <c r="L9" s="13" t="s">
        <v>25</v>
      </c>
      <c r="M9" s="26">
        <f>COUNTIFS($F$7:$F$32,$L$6,$E$7:$E$32,M7)</f>
        <v>3</v>
      </c>
      <c r="N9" s="26">
        <f t="shared" ref="N9:O9" si="4">COUNTIFS($F$7:$F$32,$L$6,$E$7:$E$32,N7)</f>
        <v>2</v>
      </c>
      <c r="O9" s="26">
        <f t="shared" si="4"/>
        <v>2</v>
      </c>
    </row>
    <row r="10" spans="1:15">
      <c r="B10" s="1" t="s">
        <v>40</v>
      </c>
      <c r="C10" s="12">
        <v>45038</v>
      </c>
      <c r="D10" s="3" t="str">
        <f t="shared" si="0"/>
        <v>土</v>
      </c>
      <c r="E10" s="1" t="str">
        <f>HLOOKUP(RIGHT(B10,LEN(B10)-FIND("@",B10)),エリア,2,0)</f>
        <v>久留米</v>
      </c>
      <c r="F10" s="1" t="str">
        <f>VLOOKUP(LEFT(B10,2),プラン,2,0)</f>
        <v>文字のみ</v>
      </c>
      <c r="G10" s="1">
        <f t="shared" si="1"/>
        <v>15</v>
      </c>
      <c r="H10" s="17">
        <f>VLOOKUP(LEFT(B10,2),プラン,3,0)*G10</f>
        <v>15000</v>
      </c>
      <c r="I10" s="1" t="str">
        <f>VLOOKUP(H10,ランク,3,1)</f>
        <v>レギュラー</v>
      </c>
      <c r="J10" s="17">
        <f t="shared" si="2"/>
        <v>15000</v>
      </c>
    </row>
    <row r="11" spans="1:15">
      <c r="B11" s="1" t="s">
        <v>41</v>
      </c>
      <c r="C11" s="12">
        <v>45042</v>
      </c>
      <c r="D11" s="3" t="str">
        <f t="shared" si="0"/>
        <v>水</v>
      </c>
      <c r="E11" s="1" t="str">
        <f>HLOOKUP(RIGHT(B11,LEN(B11)-FIND("@",B11)),エリア,2,0)</f>
        <v>久留米</v>
      </c>
      <c r="F11" s="1" t="str">
        <f>VLOOKUP(LEFT(B11,2),プラン,2,0)</f>
        <v>ページ半分</v>
      </c>
      <c r="G11" s="1">
        <f t="shared" si="1"/>
        <v>20</v>
      </c>
      <c r="H11" s="17">
        <f>VLOOKUP(LEFT(B11,2),プラン,3,0)*G11</f>
        <v>110000</v>
      </c>
      <c r="I11" s="1" t="str">
        <f>VLOOKUP(H11,ランク,3,1)</f>
        <v>ゴールド</v>
      </c>
      <c r="J11" s="17">
        <f t="shared" si="2"/>
        <v>110000</v>
      </c>
    </row>
    <row r="12" spans="1:15">
      <c r="B12" s="1" t="s">
        <v>42</v>
      </c>
      <c r="C12" s="12">
        <v>45040</v>
      </c>
      <c r="D12" s="3" t="str">
        <f t="shared" si="0"/>
        <v>月</v>
      </c>
      <c r="E12" s="1" t="str">
        <f>HLOOKUP(RIGHT(B12,LEN(B12)-FIND("@",B12)),エリア,2,0)</f>
        <v>福岡</v>
      </c>
      <c r="F12" s="1" t="str">
        <f>VLOOKUP(LEFT(B12,2),プラン,2,0)</f>
        <v>ウェブ掲載</v>
      </c>
      <c r="G12" s="1">
        <f t="shared" si="1"/>
        <v>30</v>
      </c>
      <c r="H12" s="17">
        <f>VLOOKUP(LEFT(B12,2),プラン,3,0)*G12</f>
        <v>300000</v>
      </c>
      <c r="I12" s="1" t="str">
        <f>VLOOKUP(H12,ランク,3,1)</f>
        <v>プラチナ</v>
      </c>
      <c r="J12" s="17">
        <f t="shared" si="2"/>
        <v>285000</v>
      </c>
    </row>
    <row r="13" spans="1:15">
      <c r="B13" s="1" t="s">
        <v>43</v>
      </c>
      <c r="C13" s="12">
        <v>45025</v>
      </c>
      <c r="D13" s="3" t="str">
        <f t="shared" si="0"/>
        <v>日</v>
      </c>
      <c r="E13" s="1" t="str">
        <f>HLOOKUP(RIGHT(B13,LEN(B13)-FIND("@",B13)),エリア,2,0)</f>
        <v>久留米</v>
      </c>
      <c r="F13" s="1" t="str">
        <f>VLOOKUP(LEFT(B13,2),プラン,2,0)</f>
        <v>写真サイズ</v>
      </c>
      <c r="G13" s="1">
        <f t="shared" si="1"/>
        <v>25</v>
      </c>
      <c r="H13" s="17">
        <f>VLOOKUP(LEFT(B13,2),プラン,3,0)*G13</f>
        <v>50000</v>
      </c>
      <c r="I13" s="1" t="str">
        <f>VLOOKUP(H13,ランク,3,1)</f>
        <v>レギュラー</v>
      </c>
      <c r="J13" s="17">
        <f t="shared" si="2"/>
        <v>50000</v>
      </c>
      <c r="L13" s="20" t="s">
        <v>36</v>
      </c>
    </row>
    <row r="14" spans="1:15">
      <c r="B14" s="1" t="s">
        <v>61</v>
      </c>
      <c r="C14" s="12">
        <v>45034</v>
      </c>
      <c r="D14" s="3" t="str">
        <f t="shared" si="0"/>
        <v>火</v>
      </c>
      <c r="E14" s="1" t="str">
        <f>HLOOKUP(RIGHT(B14,LEN(B14)-FIND("@",B14)),エリア,2,0)</f>
        <v>北九州</v>
      </c>
      <c r="F14" s="1" t="str">
        <f>VLOOKUP(LEFT(B14,2),プラン,2,0)</f>
        <v>1ページサイズ</v>
      </c>
      <c r="G14" s="1">
        <f t="shared" si="1"/>
        <v>7</v>
      </c>
      <c r="H14" s="17">
        <f>VLOOKUP(LEFT(B14,2),プラン,3,0)*G14</f>
        <v>84000</v>
      </c>
      <c r="I14" s="1" t="str">
        <f>VLOOKUP(H14,ランク,3,1)</f>
        <v>レギュラー</v>
      </c>
      <c r="J14" s="17">
        <f t="shared" si="2"/>
        <v>84000</v>
      </c>
      <c r="L14" s="6" t="s">
        <v>27</v>
      </c>
      <c r="M14" s="6" t="s">
        <v>67</v>
      </c>
      <c r="N14" s="6" t="s">
        <v>59</v>
      </c>
    </row>
    <row r="15" spans="1:15">
      <c r="B15" s="1" t="s">
        <v>44</v>
      </c>
      <c r="C15" s="12">
        <v>45035</v>
      </c>
      <c r="D15" s="3" t="str">
        <f t="shared" si="0"/>
        <v>水</v>
      </c>
      <c r="E15" s="1" t="str">
        <f>HLOOKUP(RIGHT(B15,LEN(B15)-FIND("@",B15)),エリア,2,0)</f>
        <v>福岡</v>
      </c>
      <c r="F15" s="1" t="str">
        <f>VLOOKUP(LEFT(B15,2),プラン,2,0)</f>
        <v>写真サイズ</v>
      </c>
      <c r="G15" s="1">
        <f t="shared" si="1"/>
        <v>15</v>
      </c>
      <c r="H15" s="17">
        <f>VLOOKUP(LEFT(B15,2),プラン,3,0)*G15</f>
        <v>30000</v>
      </c>
      <c r="I15" s="1" t="str">
        <f>VLOOKUP(H15,ランク,3,1)</f>
        <v>レギュラー</v>
      </c>
      <c r="J15" s="17">
        <f t="shared" si="2"/>
        <v>30000</v>
      </c>
      <c r="L15" s="12">
        <f>INDEX($B$7:$J$32,MATCH(MAX($J$7:$J$32),$J$7:$J$32,0),2)</f>
        <v>45020</v>
      </c>
      <c r="M15" s="12" t="str">
        <f>INDEX($B$7:$J$32,MATCH(MAX($J$7:$J$32),$J$7:$J$32,0),5)</f>
        <v>1ページサイズ</v>
      </c>
      <c r="N15" s="21">
        <f>INDEX($B$7:$J$32,MATCH(MAX($J$7:$J$32),$J$7:$J$32,0),6)</f>
        <v>35</v>
      </c>
    </row>
    <row r="16" spans="1:15">
      <c r="B16" s="1" t="s">
        <v>45</v>
      </c>
      <c r="C16" s="12">
        <v>45021</v>
      </c>
      <c r="D16" s="3" t="str">
        <f t="shared" si="0"/>
        <v>水</v>
      </c>
      <c r="E16" s="1" t="str">
        <f>HLOOKUP(RIGHT(B16,LEN(B16)-FIND("@",B16)),エリア,2,0)</f>
        <v>福岡</v>
      </c>
      <c r="F16" s="1" t="str">
        <f>VLOOKUP(LEFT(B16,2),プラン,2,0)</f>
        <v>ウェブ掲載</v>
      </c>
      <c r="G16" s="1">
        <f t="shared" si="1"/>
        <v>20</v>
      </c>
      <c r="H16" s="17">
        <f>VLOOKUP(LEFT(B16,2),プラン,3,0)*G16</f>
        <v>200000</v>
      </c>
      <c r="I16" s="1" t="str">
        <f>VLOOKUP(H16,ランク,3,1)</f>
        <v>プラチナ</v>
      </c>
      <c r="J16" s="17">
        <f t="shared" si="2"/>
        <v>190000</v>
      </c>
    </row>
    <row r="17" spans="2:12">
      <c r="B17" s="1" t="s">
        <v>46</v>
      </c>
      <c r="C17" s="12">
        <v>45020</v>
      </c>
      <c r="D17" s="3" t="str">
        <f t="shared" si="0"/>
        <v>火</v>
      </c>
      <c r="E17" s="1" t="str">
        <f>HLOOKUP(RIGHT(B17,LEN(B17)-FIND("@",B17)),エリア,2,0)</f>
        <v>北九州</v>
      </c>
      <c r="F17" s="1" t="str">
        <f>VLOOKUP(LEFT(B17,2),プラン,2,0)</f>
        <v>1ページサイズ</v>
      </c>
      <c r="G17" s="1">
        <f t="shared" si="1"/>
        <v>35</v>
      </c>
      <c r="H17" s="17">
        <f>VLOOKUP(LEFT(B17,2),プラン,3,0)*G17</f>
        <v>420000</v>
      </c>
      <c r="I17" s="1" t="str">
        <f>VLOOKUP(H17,ランク,3,1)</f>
        <v>プラチナ</v>
      </c>
      <c r="J17" s="17">
        <f t="shared" si="2"/>
        <v>399000</v>
      </c>
    </row>
    <row r="18" spans="2:12">
      <c r="B18" s="1" t="s">
        <v>47</v>
      </c>
      <c r="C18" s="12">
        <v>45020</v>
      </c>
      <c r="D18" s="3" t="str">
        <f t="shared" si="0"/>
        <v>火</v>
      </c>
      <c r="E18" s="1" t="str">
        <f>HLOOKUP(RIGHT(B18,LEN(B18)-FIND("@",B18)),エリア,2,0)</f>
        <v>北九州</v>
      </c>
      <c r="F18" s="1" t="str">
        <f>VLOOKUP(LEFT(B18,2),プラン,2,0)</f>
        <v>ウェブ掲載</v>
      </c>
      <c r="G18" s="1">
        <f t="shared" si="1"/>
        <v>10</v>
      </c>
      <c r="H18" s="17">
        <f>VLOOKUP(LEFT(B18,2),プラン,3,0)*G18</f>
        <v>100000</v>
      </c>
      <c r="I18" s="1" t="str">
        <f>VLOOKUP(H18,ランク,3,1)</f>
        <v>ゴールド</v>
      </c>
      <c r="J18" s="17">
        <f t="shared" si="2"/>
        <v>100000</v>
      </c>
    </row>
    <row r="19" spans="2:12">
      <c r="B19" s="1" t="s">
        <v>48</v>
      </c>
      <c r="C19" s="12">
        <v>45024</v>
      </c>
      <c r="D19" s="3" t="str">
        <f t="shared" si="0"/>
        <v>土</v>
      </c>
      <c r="E19" s="1" t="str">
        <f>HLOOKUP(RIGHT(B19,LEN(B19)-FIND("@",B19)),エリア,2,0)</f>
        <v>久留米</v>
      </c>
      <c r="F19" s="1" t="str">
        <f>VLOOKUP(LEFT(B19,2),プラン,2,0)</f>
        <v>名刺サイズ</v>
      </c>
      <c r="G19" s="1">
        <f t="shared" si="1"/>
        <v>10</v>
      </c>
      <c r="H19" s="17">
        <f>VLOOKUP(LEFT(B19,2),プラン,3,0)*G19</f>
        <v>12000</v>
      </c>
      <c r="I19" s="1" t="str">
        <f>VLOOKUP(H19,ランク,3,1)</f>
        <v>レギュラー</v>
      </c>
      <c r="J19" s="17">
        <f t="shared" si="2"/>
        <v>12000</v>
      </c>
    </row>
    <row r="20" spans="2:12">
      <c r="B20" s="1" t="s">
        <v>62</v>
      </c>
      <c r="C20" s="12">
        <v>45039</v>
      </c>
      <c r="D20" s="3" t="str">
        <f t="shared" si="0"/>
        <v>日</v>
      </c>
      <c r="E20" s="1" t="str">
        <f>HLOOKUP(RIGHT(B20,LEN(B20)-FIND("@",B20)),エリア,2,0)</f>
        <v>久留米</v>
      </c>
      <c r="F20" s="1" t="str">
        <f>VLOOKUP(LEFT(B20,2),プラン,2,0)</f>
        <v>ウェブ掲載</v>
      </c>
      <c r="G20" s="1">
        <f t="shared" si="1"/>
        <v>7</v>
      </c>
      <c r="H20" s="17">
        <f>VLOOKUP(LEFT(B20,2),プラン,3,0)*G20</f>
        <v>70000</v>
      </c>
      <c r="I20" s="1" t="str">
        <f>VLOOKUP(H20,ランク,3,1)</f>
        <v>レギュラー</v>
      </c>
      <c r="J20" s="17">
        <f t="shared" si="2"/>
        <v>70000</v>
      </c>
    </row>
    <row r="21" spans="2:12">
      <c r="B21" s="1" t="s">
        <v>49</v>
      </c>
      <c r="C21" s="12">
        <v>45033</v>
      </c>
      <c r="D21" s="3" t="str">
        <f t="shared" si="0"/>
        <v>月</v>
      </c>
      <c r="E21" s="1" t="str">
        <f>HLOOKUP(RIGHT(B21,LEN(B21)-FIND("@",B21)),エリア,2,0)</f>
        <v>福岡</v>
      </c>
      <c r="F21" s="1" t="str">
        <f>VLOOKUP(LEFT(B21,2),プラン,2,0)</f>
        <v>名刺サイズ</v>
      </c>
      <c r="G21" s="1">
        <f t="shared" si="1"/>
        <v>10</v>
      </c>
      <c r="H21" s="17">
        <f>VLOOKUP(LEFT(B21,2),プラン,3,0)*G21</f>
        <v>12000</v>
      </c>
      <c r="I21" s="1" t="str">
        <f>VLOOKUP(H21,ランク,3,1)</f>
        <v>レギュラー</v>
      </c>
      <c r="J21" s="17">
        <f t="shared" si="2"/>
        <v>12000</v>
      </c>
    </row>
    <row r="22" spans="2:12">
      <c r="B22" s="1" t="s">
        <v>50</v>
      </c>
      <c r="C22" s="12">
        <v>45026</v>
      </c>
      <c r="D22" s="3" t="str">
        <f t="shared" si="0"/>
        <v>月</v>
      </c>
      <c r="E22" s="1" t="str">
        <f>HLOOKUP(RIGHT(B22,LEN(B22)-FIND("@",B22)),エリア,2,0)</f>
        <v>久留米</v>
      </c>
      <c r="F22" s="1" t="str">
        <f>VLOOKUP(LEFT(B22,2),プラン,2,0)</f>
        <v>写真サイズ</v>
      </c>
      <c r="G22" s="1">
        <f t="shared" si="1"/>
        <v>30</v>
      </c>
      <c r="H22" s="17">
        <f>VLOOKUP(LEFT(B22,2),プラン,3,0)*G22</f>
        <v>60000</v>
      </c>
      <c r="I22" s="1" t="str">
        <f>VLOOKUP(H22,ランク,3,1)</f>
        <v>レギュラー</v>
      </c>
      <c r="J22" s="17">
        <f t="shared" si="2"/>
        <v>60000</v>
      </c>
      <c r="L22" s="4"/>
    </row>
    <row r="23" spans="2:12">
      <c r="B23" s="1" t="s">
        <v>63</v>
      </c>
      <c r="C23" s="12">
        <v>45040</v>
      </c>
      <c r="D23" s="3" t="str">
        <f t="shared" si="0"/>
        <v>月</v>
      </c>
      <c r="E23" s="1" t="str">
        <f>HLOOKUP(RIGHT(B23,LEN(B23)-FIND("@",B23)),エリア,2,0)</f>
        <v>北九州</v>
      </c>
      <c r="F23" s="1" t="str">
        <f>VLOOKUP(LEFT(B23,2),プラン,2,0)</f>
        <v>写真サイズ</v>
      </c>
      <c r="G23" s="1">
        <f t="shared" si="1"/>
        <v>7</v>
      </c>
      <c r="H23" s="17">
        <f>VLOOKUP(LEFT(B23,2),プラン,3,0)*G23</f>
        <v>14000</v>
      </c>
      <c r="I23" s="1" t="str">
        <f>VLOOKUP(H23,ランク,3,1)</f>
        <v>レギュラー</v>
      </c>
      <c r="J23" s="17">
        <f t="shared" si="2"/>
        <v>14000</v>
      </c>
      <c r="L23" s="4"/>
    </row>
    <row r="24" spans="2:12">
      <c r="B24" s="1" t="s">
        <v>51</v>
      </c>
      <c r="C24" s="12">
        <v>45039</v>
      </c>
      <c r="D24" s="3" t="str">
        <f t="shared" si="0"/>
        <v>日</v>
      </c>
      <c r="E24" s="1" t="str">
        <f>HLOOKUP(RIGHT(B24,LEN(B24)-FIND("@",B24)),エリア,2,0)</f>
        <v>北九州</v>
      </c>
      <c r="F24" s="1" t="str">
        <f>VLOOKUP(LEFT(B24,2),プラン,2,0)</f>
        <v>ページ半分</v>
      </c>
      <c r="G24" s="1">
        <f t="shared" si="1"/>
        <v>25</v>
      </c>
      <c r="H24" s="17">
        <f>VLOOKUP(LEFT(B24,2),プラン,3,0)*G24</f>
        <v>137500</v>
      </c>
      <c r="I24" s="1" t="str">
        <f>VLOOKUP(H24,ランク,3,1)</f>
        <v>ゴールド</v>
      </c>
      <c r="J24" s="17">
        <f t="shared" si="2"/>
        <v>137500</v>
      </c>
    </row>
    <row r="25" spans="2:12">
      <c r="B25" s="1" t="s">
        <v>52</v>
      </c>
      <c r="C25" s="12">
        <v>45044</v>
      </c>
      <c r="D25" s="3" t="str">
        <f t="shared" si="0"/>
        <v>金</v>
      </c>
      <c r="E25" s="1" t="str">
        <f>HLOOKUP(RIGHT(B25,LEN(B25)-FIND("@",B25)),エリア,2,0)</f>
        <v>久留米</v>
      </c>
      <c r="F25" s="1" t="str">
        <f>VLOOKUP(LEFT(B25,2),プラン,2,0)</f>
        <v>ウェブ掲載</v>
      </c>
      <c r="G25" s="1">
        <f t="shared" si="1"/>
        <v>20</v>
      </c>
      <c r="H25" s="17">
        <f>VLOOKUP(LEFT(B25,2),プラン,3,0)*G25</f>
        <v>200000</v>
      </c>
      <c r="I25" s="1" t="str">
        <f>VLOOKUP(H25,ランク,3,1)</f>
        <v>プラチナ</v>
      </c>
      <c r="J25" s="17">
        <f t="shared" si="2"/>
        <v>190000</v>
      </c>
    </row>
    <row r="26" spans="2:12">
      <c r="B26" s="1" t="s">
        <v>53</v>
      </c>
      <c r="C26" s="12">
        <v>45023</v>
      </c>
      <c r="D26" s="3" t="str">
        <f t="shared" si="0"/>
        <v>金</v>
      </c>
      <c r="E26" s="1" t="str">
        <f>HLOOKUP(RIGHT(B26,LEN(B26)-FIND("@",B26)),エリア,2,0)</f>
        <v>久留米</v>
      </c>
      <c r="F26" s="1" t="str">
        <f>VLOOKUP(LEFT(B26,2),プラン,2,0)</f>
        <v>ページ半分</v>
      </c>
      <c r="G26" s="1">
        <f t="shared" si="1"/>
        <v>15</v>
      </c>
      <c r="H26" s="17">
        <f>VLOOKUP(LEFT(B26,2),プラン,3,0)*G26</f>
        <v>82500</v>
      </c>
      <c r="I26" s="1" t="str">
        <f>VLOOKUP(H26,ランク,3,1)</f>
        <v>レギュラー</v>
      </c>
      <c r="J26" s="17">
        <f t="shared" si="2"/>
        <v>82500</v>
      </c>
    </row>
    <row r="27" spans="2:12">
      <c r="B27" s="1" t="s">
        <v>54</v>
      </c>
      <c r="C27" s="12">
        <v>45042</v>
      </c>
      <c r="D27" s="3" t="str">
        <f t="shared" si="0"/>
        <v>水</v>
      </c>
      <c r="E27" s="1" t="str">
        <f>HLOOKUP(RIGHT(B27,LEN(B27)-FIND("@",B27)),エリア,2,0)</f>
        <v>北九州</v>
      </c>
      <c r="F27" s="1" t="str">
        <f>VLOOKUP(LEFT(B27,2),プラン,2,0)</f>
        <v>ウェブ掲載</v>
      </c>
      <c r="G27" s="1">
        <f t="shared" si="1"/>
        <v>14</v>
      </c>
      <c r="H27" s="17">
        <f>VLOOKUP(LEFT(B27,2),プラン,3,0)*G27</f>
        <v>140000</v>
      </c>
      <c r="I27" s="1" t="str">
        <f>VLOOKUP(H27,ランク,3,1)</f>
        <v>ゴールド</v>
      </c>
      <c r="J27" s="17">
        <f t="shared" si="2"/>
        <v>140000</v>
      </c>
    </row>
    <row r="28" spans="2:12">
      <c r="B28" s="1" t="s">
        <v>55</v>
      </c>
      <c r="C28" s="12">
        <v>45030</v>
      </c>
      <c r="D28" s="3" t="str">
        <f t="shared" si="0"/>
        <v>金</v>
      </c>
      <c r="E28" s="1" t="str">
        <f>HLOOKUP(RIGHT(B28,LEN(B28)-FIND("@",B28)),エリア,2,0)</f>
        <v>福岡</v>
      </c>
      <c r="F28" s="1" t="str">
        <f>VLOOKUP(LEFT(B28,2),プラン,2,0)</f>
        <v>名刺サイズ</v>
      </c>
      <c r="G28" s="1">
        <f t="shared" si="1"/>
        <v>30</v>
      </c>
      <c r="H28" s="17">
        <f>VLOOKUP(LEFT(B28,2),プラン,3,0)*G28</f>
        <v>36000</v>
      </c>
      <c r="I28" s="1" t="str">
        <f>VLOOKUP(H28,ランク,3,1)</f>
        <v>レギュラー</v>
      </c>
      <c r="J28" s="17">
        <f t="shared" si="2"/>
        <v>36000</v>
      </c>
    </row>
    <row r="29" spans="2:12">
      <c r="B29" s="1" t="s">
        <v>56</v>
      </c>
      <c r="C29" s="12">
        <v>45019</v>
      </c>
      <c r="D29" s="3" t="str">
        <f t="shared" si="0"/>
        <v>月</v>
      </c>
      <c r="E29" s="1" t="str">
        <f>HLOOKUP(RIGHT(B29,LEN(B29)-FIND("@",B29)),エリア,2,0)</f>
        <v>福岡</v>
      </c>
      <c r="F29" s="1" t="str">
        <f>VLOOKUP(LEFT(B29,2),プラン,2,0)</f>
        <v>ウェブ掲載</v>
      </c>
      <c r="G29" s="1">
        <f t="shared" si="1"/>
        <v>35</v>
      </c>
      <c r="H29" s="17">
        <f>VLOOKUP(LEFT(B29,2),プラン,3,0)*G29</f>
        <v>350000</v>
      </c>
      <c r="I29" s="1" t="str">
        <f>VLOOKUP(H29,ランク,3,1)</f>
        <v>プラチナ</v>
      </c>
      <c r="J29" s="17">
        <f t="shared" si="2"/>
        <v>332500</v>
      </c>
    </row>
    <row r="30" spans="2:12">
      <c r="B30" s="1" t="s">
        <v>57</v>
      </c>
      <c r="C30" s="12">
        <v>45028</v>
      </c>
      <c r="D30" s="3" t="str">
        <f t="shared" si="0"/>
        <v>水</v>
      </c>
      <c r="E30" s="1" t="str">
        <f>HLOOKUP(RIGHT(B30,LEN(B30)-FIND("@",B30)),エリア,2,0)</f>
        <v>北九州</v>
      </c>
      <c r="F30" s="1" t="str">
        <f>VLOOKUP(LEFT(B30,2),プラン,2,0)</f>
        <v>1ページサイズ</v>
      </c>
      <c r="G30" s="1">
        <f t="shared" si="1"/>
        <v>15</v>
      </c>
      <c r="H30" s="17">
        <f>VLOOKUP(LEFT(B30,2),プラン,3,0)*G30</f>
        <v>180000</v>
      </c>
      <c r="I30" s="1" t="str">
        <f>VLOOKUP(H30,ランク,3,1)</f>
        <v>ゴールド</v>
      </c>
      <c r="J30" s="17">
        <f t="shared" si="2"/>
        <v>180000</v>
      </c>
    </row>
    <row r="31" spans="2:12">
      <c r="B31" s="1" t="s">
        <v>64</v>
      </c>
      <c r="C31" s="12">
        <v>45040</v>
      </c>
      <c r="D31" s="3" t="str">
        <f t="shared" si="0"/>
        <v>月</v>
      </c>
      <c r="E31" s="1" t="str">
        <f>HLOOKUP(RIGHT(B31,LEN(B31)-FIND("@",B31)),エリア,2,0)</f>
        <v>久留米</v>
      </c>
      <c r="F31" s="1" t="str">
        <f>VLOOKUP(LEFT(B31,2),プラン,2,0)</f>
        <v>ページ半分</v>
      </c>
      <c r="G31" s="1">
        <f t="shared" si="1"/>
        <v>7</v>
      </c>
      <c r="H31" s="17">
        <f>VLOOKUP(LEFT(B31,2),プラン,3,0)*G31</f>
        <v>38500</v>
      </c>
      <c r="I31" s="1" t="str">
        <f>VLOOKUP(H31,ランク,3,1)</f>
        <v>レギュラー</v>
      </c>
      <c r="J31" s="17">
        <f t="shared" si="2"/>
        <v>38500</v>
      </c>
    </row>
    <row r="32" spans="2:12">
      <c r="B32" s="1" t="s">
        <v>58</v>
      </c>
      <c r="C32" s="12">
        <v>45028</v>
      </c>
      <c r="D32" s="3" t="str">
        <f t="shared" si="0"/>
        <v>水</v>
      </c>
      <c r="E32" s="1" t="str">
        <f>HLOOKUP(RIGHT(B32,LEN(B32)-FIND("@",B32)),エリア,2,0)</f>
        <v>久留米</v>
      </c>
      <c r="F32" s="1" t="str">
        <f>VLOOKUP(LEFT(B32,2),プラン,2,0)</f>
        <v>文字のみ</v>
      </c>
      <c r="G32" s="1">
        <f t="shared" si="1"/>
        <v>25</v>
      </c>
      <c r="H32" s="17">
        <f>VLOOKUP(LEFT(B32,2),プラン,3,0)*G32</f>
        <v>25000</v>
      </c>
      <c r="I32" s="1" t="str">
        <f>VLOOKUP(H32,ランク,3,1)</f>
        <v>レギュラー</v>
      </c>
      <c r="J32" s="17">
        <f t="shared" si="2"/>
        <v>25000</v>
      </c>
    </row>
  </sheetData>
  <mergeCells count="2">
    <mergeCell ref="L6:O6"/>
    <mergeCell ref="B4:J4"/>
  </mergeCells>
  <phoneticPr fontId="2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21"/>
  <sheetViews>
    <sheetView workbookViewId="0">
      <selection activeCell="H4" sqref="H4:H6"/>
    </sheetView>
  </sheetViews>
  <sheetFormatPr defaultRowHeight="13.5"/>
  <cols>
    <col min="3" max="3" width="16.75" bestFit="1" customWidth="1"/>
    <col min="4" max="4" width="14.375" bestFit="1" customWidth="1"/>
    <col min="5" max="5" width="13.25" bestFit="1" customWidth="1"/>
    <col min="6" max="6" width="13.25" customWidth="1"/>
    <col min="7" max="7" width="5" customWidth="1"/>
    <col min="8" max="8" width="9.5" customWidth="1"/>
    <col min="9" max="9" width="3.5" bestFit="1" customWidth="1"/>
    <col min="10" max="10" width="12.5" customWidth="1"/>
    <col min="11" max="11" width="5" customWidth="1"/>
    <col min="12" max="12" width="10.375" customWidth="1"/>
  </cols>
  <sheetData>
    <row r="2" spans="2:9" ht="13.15" customHeight="1">
      <c r="B2" s="20" t="s">
        <v>69</v>
      </c>
      <c r="F2" s="20" t="s">
        <v>65</v>
      </c>
      <c r="G2" s="7"/>
    </row>
    <row r="3" spans="2:9">
      <c r="B3" s="6" t="s">
        <v>68</v>
      </c>
      <c r="C3" s="6" t="s">
        <v>66</v>
      </c>
      <c r="D3" s="19" t="s">
        <v>35</v>
      </c>
      <c r="F3" s="22" t="s">
        <v>30</v>
      </c>
      <c r="G3" s="24"/>
      <c r="H3" s="6" t="s">
        <v>29</v>
      </c>
    </row>
    <row r="4" spans="2:9">
      <c r="B4" s="2" t="s">
        <v>2</v>
      </c>
      <c r="C4" s="1" t="s">
        <v>3</v>
      </c>
      <c r="D4" s="16">
        <v>12000</v>
      </c>
      <c r="F4" s="14">
        <v>0</v>
      </c>
      <c r="G4" s="14" t="s">
        <v>31</v>
      </c>
      <c r="H4" s="1" t="s">
        <v>32</v>
      </c>
    </row>
    <row r="5" spans="2:9">
      <c r="B5" s="3" t="s">
        <v>8</v>
      </c>
      <c r="C5" s="1" t="s">
        <v>4</v>
      </c>
      <c r="D5" s="17">
        <v>5500</v>
      </c>
      <c r="F5" s="15">
        <v>100000</v>
      </c>
      <c r="G5" s="15" t="s">
        <v>31</v>
      </c>
      <c r="H5" s="1" t="s">
        <v>33</v>
      </c>
    </row>
    <row r="6" spans="2:9">
      <c r="B6" s="3" t="s">
        <v>0</v>
      </c>
      <c r="C6" s="1" t="s">
        <v>5</v>
      </c>
      <c r="D6" s="17">
        <v>2000</v>
      </c>
      <c r="F6" s="15">
        <v>200000</v>
      </c>
      <c r="G6" s="15" t="s">
        <v>31</v>
      </c>
      <c r="H6" s="1" t="s">
        <v>34</v>
      </c>
    </row>
    <row r="7" spans="2:9">
      <c r="B7" s="3" t="s">
        <v>7</v>
      </c>
      <c r="C7" s="1" t="s">
        <v>6</v>
      </c>
      <c r="D7" s="17">
        <v>1200</v>
      </c>
    </row>
    <row r="8" spans="2:9">
      <c r="B8" s="3" t="s">
        <v>9</v>
      </c>
      <c r="C8" s="1" t="s">
        <v>10</v>
      </c>
      <c r="D8" s="17">
        <v>1000</v>
      </c>
    </row>
    <row r="9" spans="2:9">
      <c r="B9" s="3" t="s">
        <v>19</v>
      </c>
      <c r="C9" s="1" t="s">
        <v>11</v>
      </c>
      <c r="D9" s="18">
        <v>10000</v>
      </c>
    </row>
    <row r="10" spans="2:9">
      <c r="B10" s="8"/>
      <c r="D10" s="10"/>
      <c r="E10" s="10"/>
      <c r="F10" s="10"/>
    </row>
    <row r="12" spans="2:9">
      <c r="B12" s="20" t="s">
        <v>17</v>
      </c>
    </row>
    <row r="13" spans="2:9">
      <c r="B13" s="6" t="s">
        <v>16</v>
      </c>
      <c r="C13" s="3" t="s">
        <v>13</v>
      </c>
      <c r="D13" s="3" t="s">
        <v>14</v>
      </c>
      <c r="E13" s="3" t="s">
        <v>15</v>
      </c>
    </row>
    <row r="14" spans="2:9">
      <c r="B14" s="6" t="s">
        <v>12</v>
      </c>
      <c r="C14" s="3" t="s">
        <v>22</v>
      </c>
      <c r="D14" s="3" t="s">
        <v>23</v>
      </c>
      <c r="E14" s="3" t="s">
        <v>24</v>
      </c>
      <c r="F14" s="9"/>
    </row>
    <row r="15" spans="2:9">
      <c r="B15" s="8"/>
      <c r="D15" s="9"/>
      <c r="E15" s="9"/>
      <c r="F15" s="9"/>
    </row>
    <row r="16" spans="2:9">
      <c r="B16" s="8"/>
      <c r="D16" s="9"/>
      <c r="E16" s="9"/>
      <c r="F16" s="9"/>
      <c r="H16" s="5"/>
      <c r="I16" s="5"/>
    </row>
    <row r="17" spans="2:11">
      <c r="B17" s="11"/>
      <c r="D17" s="9"/>
      <c r="E17" s="9"/>
      <c r="F17" s="9"/>
      <c r="H17" s="5"/>
      <c r="I17" s="5"/>
      <c r="J17" s="5"/>
    </row>
    <row r="18" spans="2:11">
      <c r="B18" s="11"/>
      <c r="D18" s="9"/>
      <c r="E18" s="9"/>
      <c r="F18" s="9"/>
      <c r="J18" s="5"/>
    </row>
    <row r="20" spans="2:11" s="5" customFormat="1">
      <c r="F20"/>
      <c r="H20"/>
      <c r="I20"/>
      <c r="J20"/>
      <c r="K20"/>
    </row>
    <row r="21" spans="2:11" s="5" customFormat="1">
      <c r="F21"/>
      <c r="H21"/>
      <c r="I21"/>
      <c r="J21"/>
      <c r="K21"/>
    </row>
  </sheetData>
  <mergeCells count="1">
    <mergeCell ref="F3:G3"/>
  </mergeCells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とりまとめ表</vt:lpstr>
      <vt:lpstr>リスト一覧</vt:lpstr>
      <vt:lpstr>エリア</vt:lpstr>
      <vt:lpstr>プラン</vt:lpstr>
      <vt:lpstr>ランク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cp:lastPrinted>2024-03-06T23:53:00Z</cp:lastPrinted>
  <dcterms:created xsi:type="dcterms:W3CDTF">2008-01-04T03:00:00Z</dcterms:created>
  <dcterms:modified xsi:type="dcterms:W3CDTF">2024-05-09T09:52:21Z</dcterms:modified>
</cp:coreProperties>
</file>